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180" yWindow="0" windowWidth="23865" windowHeight="12375" tabRatio="50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Tabelle1!$A$6:$E$16</definedName>
  </definedNames>
  <calcPr calcId="145621" concurrentCalc="0"/>
</workbook>
</file>

<file path=xl/calcChain.xml><?xml version="1.0" encoding="utf-8"?>
<calcChain xmlns="http://schemas.openxmlformats.org/spreadsheetml/2006/main">
  <c r="J9" i="1" l="1"/>
  <c r="H11" i="1"/>
  <c r="J11" i="1"/>
  <c r="L11" i="1"/>
  <c r="L9" i="1"/>
  <c r="H10" i="1"/>
  <c r="L10" i="1"/>
  <c r="H13" i="1"/>
  <c r="L13" i="1"/>
  <c r="I17" i="1"/>
  <c r="H17" i="1"/>
  <c r="J17" i="1"/>
  <c r="I12" i="1"/>
  <c r="H12" i="1"/>
  <c r="J12" i="1"/>
  <c r="J18" i="1"/>
  <c r="H18" i="1"/>
  <c r="L18" i="1"/>
  <c r="L20" i="1"/>
  <c r="H20" i="1"/>
  <c r="K20" i="1"/>
  <c r="J10" i="1"/>
  <c r="J13" i="1"/>
  <c r="J15" i="1"/>
  <c r="J16" i="1"/>
  <c r="B18" i="1"/>
  <c r="D18" i="1"/>
  <c r="J20" i="1"/>
  <c r="A16" i="1"/>
  <c r="A14" i="1"/>
  <c r="D16" i="1"/>
  <c r="B16" i="1"/>
  <c r="D14" i="1"/>
  <c r="B14" i="1"/>
  <c r="L12" i="1"/>
  <c r="L15" i="1"/>
  <c r="H15" i="1"/>
  <c r="K15" i="1"/>
  <c r="C22" i="1"/>
  <c r="C23" i="1"/>
  <c r="D15" i="1"/>
  <c r="B13" i="1"/>
  <c r="B15" i="1"/>
  <c r="D13" i="1"/>
  <c r="J14" i="1"/>
  <c r="B23" i="1"/>
  <c r="B22" i="1"/>
  <c r="I18" i="1"/>
</calcChain>
</file>

<file path=xl/sharedStrings.xml><?xml version="1.0" encoding="utf-8"?>
<sst xmlns="http://schemas.openxmlformats.org/spreadsheetml/2006/main" count="39" uniqueCount="30">
  <si>
    <t>Basic empty weight</t>
  </si>
  <si>
    <t>Takeoff-Fuel</t>
  </si>
  <si>
    <t>Tripfuel (Burnoff)</t>
  </si>
  <si>
    <t>Landing-Fuel</t>
  </si>
  <si>
    <t>TOTAL bei Landung</t>
  </si>
  <si>
    <t>lbs (Pfund)</t>
  </si>
  <si>
    <t>Kg (Kilo)</t>
  </si>
  <si>
    <t>Eingaben für Dezimalen: mit  .  (Punkt)</t>
  </si>
  <si>
    <t>Eingaben für Pilot- / PAX- /  Baggage-Gewichte: in Kg</t>
  </si>
  <si>
    <t>Kg</t>
  </si>
  <si>
    <t>PILOT</t>
  </si>
  <si>
    <t>lbs</t>
  </si>
  <si>
    <t>TOTAL bei Takeoff</t>
  </si>
  <si>
    <t>Details Kalkulation</t>
  </si>
  <si>
    <t>Kg     /</t>
  </si>
  <si>
    <t>Startgewicht:</t>
  </si>
  <si>
    <t>Landegewicht:</t>
  </si>
  <si>
    <t>Fuel bei Landung:</t>
  </si>
  <si>
    <t>Liter</t>
  </si>
  <si>
    <t>Lt (Fuel)</t>
  </si>
  <si>
    <t>FUEL beim Start (Lt)</t>
  </si>
  <si>
    <t>TRIP FUEL (Lt)</t>
  </si>
  <si>
    <t>Eingaben für T/O- und TRIP-Fuel: in Lt</t>
  </si>
  <si>
    <t>Front-Seats Total</t>
  </si>
  <si>
    <t>Baggage</t>
  </si>
  <si>
    <t>maximum TOW: 630 kg / 1388 lbs</t>
  </si>
  <si>
    <t>Arm (m)</t>
  </si>
  <si>
    <t>Moment (m x kg)</t>
  </si>
  <si>
    <t>Tecnam 2008 JC         HB-KMF</t>
  </si>
  <si>
    <t>PAX 1 auf 
vorderem Sitz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</si>
</sst>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4"/>
      <name val="Verdana"/>
    </font>
    <font>
      <b/>
      <sz val="12"/>
      <color indexed="11"/>
      <name val="Verdana"/>
    </font>
    <font>
      <b/>
      <sz val="12"/>
      <name val="Verdana"/>
    </font>
    <font>
      <b/>
      <sz val="10"/>
      <color indexed="12"/>
      <name val="Verdana"/>
    </font>
    <font>
      <b/>
      <sz val="10"/>
      <color indexed="8"/>
      <name val="Verdana"/>
    </font>
    <font>
      <sz val="10"/>
      <name val="Verdana"/>
    </font>
    <font>
      <b/>
      <sz val="16"/>
      <color indexed="10"/>
      <name val="Verdana"/>
    </font>
    <font>
      <b/>
      <sz val="16"/>
      <color indexed="12"/>
      <name val="Verdana"/>
    </font>
    <font>
      <sz val="16"/>
      <name val="Verdana"/>
    </font>
    <font>
      <sz val="16"/>
      <color indexed="8"/>
      <name val="Verdana"/>
    </font>
    <font>
      <sz val="16"/>
      <color indexed="10"/>
      <name val="Verdana"/>
    </font>
    <font>
      <sz val="10"/>
      <name val="Verdana"/>
    </font>
    <font>
      <sz val="8"/>
      <name val="Verdana"/>
    </font>
    <font>
      <b/>
      <sz val="11"/>
      <color theme="5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164" fontId="0" fillId="0" borderId="0" xfId="0" applyNumberFormat="1"/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1" fillId="0" borderId="0" xfId="0" applyFont="1" applyAlignment="1">
      <alignment vertical="center"/>
    </xf>
    <xf numFmtId="164" fontId="3" fillId="0" borderId="5" xfId="0" applyNumberFormat="1" applyFont="1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4" fillId="0" borderId="0" xfId="0" applyFont="1" applyProtection="1"/>
    <xf numFmtId="0" fontId="4" fillId="0" borderId="5" xfId="0" applyFont="1" applyBorder="1" applyProtection="1"/>
    <xf numFmtId="0" fontId="3" fillId="0" borderId="5" xfId="0" applyFont="1" applyBorder="1" applyProtection="1"/>
    <xf numFmtId="0" fontId="4" fillId="0" borderId="5" xfId="0" applyFont="1" applyBorder="1" applyAlignment="1" applyProtection="1">
      <alignment wrapText="1"/>
    </xf>
    <xf numFmtId="164" fontId="3" fillId="0" borderId="5" xfId="0" applyNumberFormat="1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10" fillId="0" borderId="8" xfId="0" applyFont="1" applyBorder="1" applyProtection="1"/>
    <xf numFmtId="0" fontId="10" fillId="0" borderId="9" xfId="0" applyFont="1" applyBorder="1" applyProtection="1"/>
    <xf numFmtId="164" fontId="10" fillId="0" borderId="9" xfId="0" applyNumberFormat="1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0" fontId="11" fillId="0" borderId="12" xfId="0" applyFont="1" applyBorder="1" applyAlignment="1" applyProtection="1">
      <alignment vertical="center"/>
    </xf>
    <xf numFmtId="0" fontId="9" fillId="0" borderId="0" xfId="0" applyFont="1" applyProtection="1"/>
    <xf numFmtId="0" fontId="11" fillId="0" borderId="13" xfId="0" applyFont="1" applyBorder="1" applyAlignment="1" applyProtection="1">
      <alignment horizontal="center"/>
    </xf>
    <xf numFmtId="0" fontId="12" fillId="0" borderId="7" xfId="0" applyFont="1" applyBorder="1" applyProtection="1"/>
    <xf numFmtId="164" fontId="12" fillId="0" borderId="14" xfId="0" applyNumberFormat="1" applyFont="1" applyBorder="1" applyAlignment="1" applyProtection="1">
      <alignment horizontal="right"/>
    </xf>
    <xf numFmtId="0" fontId="12" fillId="0" borderId="15" xfId="0" applyFont="1" applyBorder="1" applyProtection="1"/>
    <xf numFmtId="164" fontId="12" fillId="0" borderId="16" xfId="0" applyNumberFormat="1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left"/>
    </xf>
    <xf numFmtId="164" fontId="13" fillId="0" borderId="6" xfId="0" applyNumberFormat="1" applyFont="1" applyBorder="1" applyAlignment="1" applyProtection="1">
      <alignment horizontal="left"/>
    </xf>
    <xf numFmtId="0" fontId="14" fillId="0" borderId="15" xfId="0" applyFont="1" applyBorder="1" applyProtection="1"/>
    <xf numFmtId="0" fontId="13" fillId="0" borderId="15" xfId="0" applyFont="1" applyBorder="1" applyProtection="1"/>
    <xf numFmtId="0" fontId="14" fillId="0" borderId="1" xfId="0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right"/>
      <protection locked="0"/>
    </xf>
    <xf numFmtId="164" fontId="3" fillId="0" borderId="17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2" fillId="0" borderId="18" xfId="0" applyFont="1" applyBorder="1" applyProtection="1"/>
    <xf numFmtId="164" fontId="2" fillId="0" borderId="19" xfId="0" applyNumberFormat="1" applyFont="1" applyBorder="1" applyProtection="1"/>
    <xf numFmtId="164" fontId="2" fillId="0" borderId="20" xfId="0" applyNumberFormat="1" applyFont="1" applyBorder="1" applyProtection="1"/>
    <xf numFmtId="164" fontId="2" fillId="0" borderId="21" xfId="0" applyNumberFormat="1" applyFont="1" applyBorder="1" applyProtection="1"/>
    <xf numFmtId="164" fontId="0" fillId="0" borderId="20" xfId="0" applyNumberFormat="1" applyBorder="1" applyProtection="1"/>
    <xf numFmtId="0" fontId="2" fillId="0" borderId="22" xfId="0" applyFont="1" applyBorder="1" applyProtection="1"/>
    <xf numFmtId="164" fontId="1" fillId="2" borderId="23" xfId="0" applyNumberFormat="1" applyFont="1" applyFill="1" applyBorder="1" applyProtection="1"/>
    <xf numFmtId="164" fontId="1" fillId="2" borderId="24" xfId="0" applyNumberFormat="1" applyFont="1" applyFill="1" applyBorder="1" applyAlignment="1" applyProtection="1">
      <alignment horizontal="right"/>
    </xf>
    <xf numFmtId="164" fontId="1" fillId="2" borderId="25" xfId="0" applyNumberFormat="1" applyFont="1" applyFill="1" applyBorder="1" applyAlignment="1" applyProtection="1">
      <alignment horizontal="right"/>
    </xf>
    <xf numFmtId="164" fontId="1" fillId="2" borderId="4" xfId="0" applyNumberFormat="1" applyFont="1" applyFill="1" applyBorder="1" applyAlignment="1" applyProtection="1">
      <alignment horizontal="right"/>
    </xf>
    <xf numFmtId="0" fontId="2" fillId="0" borderId="26" xfId="0" applyFont="1" applyBorder="1" applyProtection="1"/>
    <xf numFmtId="164" fontId="1" fillId="2" borderId="27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4" fontId="1" fillId="2" borderId="2" xfId="0" applyNumberFormat="1" applyFont="1" applyFill="1" applyBorder="1" applyAlignment="1" applyProtection="1">
      <alignment horizontal="right"/>
    </xf>
    <xf numFmtId="0" fontId="0" fillId="0" borderId="28" xfId="0" applyBorder="1" applyProtection="1"/>
    <xf numFmtId="164" fontId="1" fillId="2" borderId="29" xfId="0" applyNumberFormat="1" applyFont="1" applyFill="1" applyBorder="1" applyProtection="1"/>
    <xf numFmtId="164" fontId="1" fillId="2" borderId="3" xfId="0" applyNumberFormat="1" applyFont="1" applyFill="1" applyBorder="1" applyAlignment="1" applyProtection="1">
      <alignment horizontal="right"/>
    </xf>
    <xf numFmtId="164" fontId="1" fillId="2" borderId="30" xfId="0" applyNumberFormat="1" applyFont="1" applyFill="1" applyBorder="1" applyAlignment="1" applyProtection="1">
      <alignment horizontal="right"/>
    </xf>
    <xf numFmtId="164" fontId="1" fillId="2" borderId="31" xfId="0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18" xfId="0" applyFont="1" applyBorder="1" applyProtection="1"/>
    <xf numFmtId="164" fontId="11" fillId="0" borderId="32" xfId="0" applyNumberFormat="1" applyFont="1" applyBorder="1" applyProtection="1"/>
    <xf numFmtId="164" fontId="11" fillId="0" borderId="20" xfId="0" applyNumberFormat="1" applyFont="1" applyBorder="1" applyProtection="1"/>
    <xf numFmtId="0" fontId="9" fillId="0" borderId="8" xfId="0" applyNumberFormat="1" applyFont="1" applyBorder="1" applyAlignment="1" applyProtection="1">
      <alignment horizontal="center"/>
    </xf>
    <xf numFmtId="164" fontId="11" fillId="0" borderId="21" xfId="0" applyNumberFormat="1" applyFont="1" applyBorder="1" applyProtection="1"/>
    <xf numFmtId="0" fontId="12" fillId="0" borderId="0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vertical="center" wrapText="1"/>
    </xf>
    <xf numFmtId="164" fontId="6" fillId="0" borderId="34" xfId="0" applyNumberFormat="1" applyFont="1" applyBorder="1" applyAlignment="1" applyProtection="1">
      <alignment vertical="center"/>
    </xf>
    <xf numFmtId="164" fontId="1" fillId="2" borderId="35" xfId="0" applyNumberFormat="1" applyFont="1" applyFill="1" applyBorder="1" applyAlignment="1" applyProtection="1">
      <alignment vertical="center"/>
    </xf>
    <xf numFmtId="164" fontId="6" fillId="0" borderId="34" xfId="0" applyNumberFormat="1" applyFont="1" applyBorder="1" applyAlignment="1" applyProtection="1">
      <alignment horizontal="center" vertical="center"/>
    </xf>
    <xf numFmtId="164" fontId="6" fillId="0" borderId="36" xfId="0" applyNumberFormat="1" applyFont="1" applyBorder="1" applyAlignment="1" applyProtection="1">
      <alignment horizontal="center" vertical="center"/>
    </xf>
    <xf numFmtId="164" fontId="1" fillId="2" borderId="35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/>
    </xf>
    <xf numFmtId="0" fontId="8" fillId="0" borderId="18" xfId="0" applyFont="1" applyBorder="1" applyProtection="1"/>
    <xf numFmtId="164" fontId="1" fillId="0" borderId="8" xfId="0" applyNumberFormat="1" applyFont="1" applyBorder="1" applyProtection="1"/>
    <xf numFmtId="164" fontId="1" fillId="0" borderId="20" xfId="0" applyNumberFormat="1" applyFont="1" applyBorder="1" applyProtection="1"/>
    <xf numFmtId="164" fontId="1" fillId="2" borderId="0" xfId="0" applyNumberFormat="1" applyFont="1" applyFill="1" applyBorder="1" applyProtection="1"/>
    <xf numFmtId="164" fontId="1" fillId="2" borderId="25" xfId="0" applyNumberFormat="1" applyFont="1" applyFill="1" applyBorder="1" applyProtection="1"/>
    <xf numFmtId="164" fontId="0" fillId="2" borderId="4" xfId="0" applyNumberFormat="1" applyFill="1" applyBorder="1" applyProtection="1"/>
    <xf numFmtId="0" fontId="2" fillId="0" borderId="37" xfId="0" applyFont="1" applyBorder="1" applyProtection="1"/>
    <xf numFmtId="164" fontId="1" fillId="2" borderId="38" xfId="0" applyNumberFormat="1" applyFont="1" applyFill="1" applyBorder="1" applyProtection="1"/>
    <xf numFmtId="164" fontId="1" fillId="2" borderId="36" xfId="0" applyNumberFormat="1" applyFont="1" applyFill="1" applyBorder="1" applyProtection="1"/>
    <xf numFmtId="164" fontId="1" fillId="2" borderId="31" xfId="0" applyNumberFormat="1" applyFont="1" applyFill="1" applyBorder="1" applyProtection="1"/>
    <xf numFmtId="164" fontId="1" fillId="2" borderId="8" xfId="0" applyNumberFormat="1" applyFont="1" applyFill="1" applyBorder="1" applyProtection="1"/>
    <xf numFmtId="164" fontId="1" fillId="2" borderId="20" xfId="0" applyNumberFormat="1" applyFont="1" applyFill="1" applyBorder="1" applyProtection="1"/>
    <xf numFmtId="164" fontId="2" fillId="2" borderId="8" xfId="0" applyNumberFormat="1" applyFont="1" applyFill="1" applyBorder="1" applyProtection="1"/>
    <xf numFmtId="164" fontId="2" fillId="2" borderId="21" xfId="0" applyNumberFormat="1" applyFont="1" applyFill="1" applyBorder="1" applyProtection="1"/>
    <xf numFmtId="0" fontId="7" fillId="0" borderId="33" xfId="0" applyFont="1" applyBorder="1" applyProtection="1"/>
    <xf numFmtId="164" fontId="7" fillId="2" borderId="34" xfId="0" applyNumberFormat="1" applyFont="1" applyFill="1" applyBorder="1" applyProtection="1"/>
    <xf numFmtId="164" fontId="1" fillId="2" borderId="35" xfId="0" applyNumberFormat="1" applyFont="1" applyFill="1" applyBorder="1" applyProtection="1"/>
    <xf numFmtId="164" fontId="7" fillId="2" borderId="34" xfId="0" applyNumberFormat="1" applyFont="1" applyFill="1" applyBorder="1" applyAlignment="1" applyProtection="1">
      <alignment horizontal="center"/>
    </xf>
    <xf numFmtId="164" fontId="7" fillId="2" borderId="36" xfId="0" applyNumberFormat="1" applyFont="1" applyFill="1" applyBorder="1" applyAlignment="1" applyProtection="1">
      <alignment horizontal="center"/>
    </xf>
    <xf numFmtId="164" fontId="10" fillId="0" borderId="39" xfId="0" applyNumberFormat="1" applyFont="1" applyBorder="1" applyAlignment="1" applyProtection="1">
      <alignment horizontal="right"/>
    </xf>
    <xf numFmtId="164" fontId="3" fillId="0" borderId="5" xfId="0" applyNumberFormat="1" applyFont="1" applyBorder="1" applyAlignment="1" applyProtection="1">
      <alignment horizontal="right"/>
    </xf>
    <xf numFmtId="0" fontId="0" fillId="0" borderId="26" xfId="0" applyFont="1" applyBorder="1" applyProtection="1"/>
    <xf numFmtId="0" fontId="3" fillId="0" borderId="15" xfId="0" applyFont="1" applyBorder="1" applyProtection="1"/>
    <xf numFmtId="0" fontId="3" fillId="0" borderId="14" xfId="0" applyFont="1" applyBorder="1" applyProtection="1"/>
    <xf numFmtId="0" fontId="0" fillId="0" borderId="40" xfId="0" applyFont="1" applyBorder="1" applyProtection="1"/>
    <xf numFmtId="0" fontId="0" fillId="0" borderId="21" xfId="0" applyFont="1" applyBorder="1" applyAlignment="1" applyProtection="1">
      <alignment horizontal="center" vertical="center" wrapText="1"/>
    </xf>
    <xf numFmtId="0" fontId="3" fillId="0" borderId="6" xfId="0" applyFont="1" applyBorder="1" applyProtection="1"/>
    <xf numFmtId="164" fontId="16" fillId="0" borderId="8" xfId="0" applyNumberFormat="1" applyFont="1" applyBorder="1" applyProtection="1"/>
    <xf numFmtId="0" fontId="1" fillId="0" borderId="41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wrapText="1"/>
    </xf>
    <xf numFmtId="0" fontId="1" fillId="0" borderId="33" xfId="0" applyFont="1" applyBorder="1" applyAlignment="1" applyProtection="1">
      <alignment horizontal="center" wrapText="1"/>
    </xf>
  </cellXfs>
  <cellStyles count="1">
    <cellStyle name="Standard" xfId="0" builtinId="0"/>
  </cellStyles>
  <dxfs count="6">
    <dxf>
      <font>
        <color rgb="FF9C0006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1BE7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Verdana"/>
                <a:ea typeface="Verdana"/>
                <a:cs typeface="Verdana"/>
              </a:defRPr>
            </a:pPr>
            <a:r>
              <a:rPr lang="de-CH"/>
              <a:t>Schwerpunktlagen bei Takeoff und Landung</a:t>
            </a:r>
          </a:p>
        </c:rich>
      </c:tx>
      <c:layout>
        <c:manualLayout>
          <c:xMode val="edge"/>
          <c:yMode val="edge"/>
          <c:x val="0.29078041656083314"/>
          <c:y val="3.75002657378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12066152335758"/>
          <c:y val="0.18750047683837087"/>
          <c:w val="0.72813280795933522"/>
          <c:h val="0.59583484861971181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marker>
              <c:spPr>
                <a:solidFill>
                  <a:srgbClr val="FF1BE7"/>
                </a:solidFill>
                <a:ln>
                  <a:solidFill>
                    <a:srgbClr val="FF1BE7"/>
                  </a:solidFill>
                  <a:prstDash val="solid"/>
                </a:ln>
              </c:spPr>
            </c:marker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333333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Tabelle1!$B$22:$B$23</c:f>
              <c:numCache>
                <c:formatCode>#,##0.0</c:formatCode>
                <c:ptCount val="2"/>
                <c:pt idx="0">
                  <c:v>1.9104358957760155</c:v>
                </c:pt>
                <c:pt idx="1">
                  <c:v>1.8953994298915642</c:v>
                </c:pt>
              </c:numCache>
            </c:numRef>
          </c:xVal>
          <c:yVal>
            <c:numRef>
              <c:f>Tabelle1!$C$22:$C$23</c:f>
              <c:numCache>
                <c:formatCode>#,##0.0</c:formatCode>
                <c:ptCount val="2"/>
                <c:pt idx="0">
                  <c:v>617.9</c:v>
                </c:pt>
                <c:pt idx="1">
                  <c:v>589.09955400319996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33280"/>
        <c:axId val="171235200"/>
      </c:scatterChart>
      <c:valAx>
        <c:axId val="171233280"/>
        <c:scaling>
          <c:orientation val="minMax"/>
          <c:max val="2"/>
          <c:min val="1.8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333333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de-DE"/>
                  <a:t>ARM (m)</a:t>
                </a:r>
              </a:p>
            </c:rich>
          </c:tx>
          <c:layout>
            <c:manualLayout>
              <c:xMode val="edge"/>
              <c:yMode val="edge"/>
              <c:x val="0.47517758868851073"/>
              <c:y val="0.86250251428851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out"/>
        <c:minorTickMark val="in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71235200"/>
        <c:crossesAt val="340"/>
        <c:crossBetween val="midCat"/>
        <c:minorUnit val="5.000000000000001E-3"/>
      </c:valAx>
      <c:valAx>
        <c:axId val="171235200"/>
        <c:scaling>
          <c:orientation val="minMax"/>
          <c:max val="660"/>
          <c:min val="4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333333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de-DE"/>
                  <a:t>Flugzeuggewicht (KG)</a:t>
                </a:r>
              </a:p>
            </c:rich>
          </c:tx>
          <c:layout>
            <c:manualLayout>
              <c:xMode val="edge"/>
              <c:yMode val="edge"/>
              <c:x val="3.7836762340191343E-2"/>
              <c:y val="0.291667279907768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71233280"/>
        <c:crosses val="autoZero"/>
        <c:crossBetween val="midCat"/>
        <c:majorUnit val="50"/>
        <c:minorUnit val="25"/>
      </c:valAx>
      <c:spPr>
        <a:solidFill>
          <a:srgbClr val="CDCDCD"/>
        </a:solidFill>
        <a:ln w="12700">
          <a:solidFill>
            <a:srgbClr val="33333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333333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19</xdr:row>
      <xdr:rowOff>28575</xdr:rowOff>
    </xdr:from>
    <xdr:to>
      <xdr:col>4</xdr:col>
      <xdr:colOff>180975</xdr:colOff>
      <xdr:row>37</xdr:row>
      <xdr:rowOff>161925</xdr:rowOff>
    </xdr:to>
    <xdr:graphicFrame macro="">
      <xdr:nvGraphicFramePr>
        <xdr:cNvPr id="31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0.31481</cdr:x>
      <cdr:y>0.25799</cdr:y>
    </cdr:from>
    <cdr:to>
      <cdr:x>0.31543</cdr:x>
      <cdr:y>0.78556</cdr:y>
    </cdr:to>
    <cdr:sp macro="" textlink="">
      <cdr:nvSpPr>
        <cdr:cNvPr id="1945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88489" y="781439"/>
          <a:ext cx="2931" cy="15979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0.31386</cdr:x>
      <cdr:y>0.25723</cdr:y>
    </cdr:from>
    <cdr:to>
      <cdr:x>0.81668</cdr:x>
      <cdr:y>0.25723</cdr:y>
    </cdr:to>
    <cdr:sp macro="" textlink="">
      <cdr:nvSpPr>
        <cdr:cNvPr id="194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83995" y="779143"/>
          <a:ext cx="2377440" cy="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0.8136</cdr:x>
      <cdr:y>0.25703</cdr:y>
    </cdr:from>
    <cdr:to>
      <cdr:x>0.8146</cdr:x>
      <cdr:y>0.77523</cdr:y>
    </cdr:to>
    <cdr:sp macro="" textlink="">
      <cdr:nvSpPr>
        <cdr:cNvPr id="1946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46882" y="778539"/>
          <a:ext cx="4707" cy="15695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0.41411</cdr:x>
      <cdr:y>0.13793</cdr:y>
    </cdr:from>
    <cdr:to>
      <cdr:x>0.43227</cdr:x>
      <cdr:y>0.2015</cdr:y>
    </cdr:to>
    <cdr:sp macro="" textlink="">
      <cdr:nvSpPr>
        <cdr:cNvPr id="194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684" y="414030"/>
          <a:ext cx="101702" cy="190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Layout" zoomScaleNormal="100" workbookViewId="0">
      <selection activeCell="B6" sqref="B6"/>
    </sheetView>
  </sheetViews>
  <sheetFormatPr baseColWidth="10" defaultRowHeight="12.75" x14ac:dyDescent="0.2"/>
  <cols>
    <col min="1" max="1" width="24.375" customWidth="1"/>
    <col min="2" max="2" width="11" customWidth="1"/>
    <col min="3" max="3" width="14.875" customWidth="1"/>
    <col min="4" max="4" width="12.5" customWidth="1"/>
    <col min="5" max="5" width="6.375" customWidth="1"/>
    <col min="6" max="6" width="5" customWidth="1"/>
    <col min="7" max="7" width="19.625" customWidth="1"/>
    <col min="8" max="8" width="7.75" customWidth="1"/>
    <col min="9" max="9" width="5.875" customWidth="1"/>
    <col min="10" max="10" width="9.625" customWidth="1"/>
    <col min="11" max="11" width="8" customWidth="1"/>
    <col min="12" max="12" width="11.625" customWidth="1"/>
    <col min="13" max="256" width="9" customWidth="1"/>
  </cols>
  <sheetData>
    <row r="1" spans="1:12" ht="18" x14ac:dyDescent="0.25">
      <c r="A1" s="8"/>
      <c r="B1" s="8"/>
      <c r="C1" s="8"/>
      <c r="D1" s="9"/>
      <c r="E1" s="9"/>
      <c r="F1" s="9"/>
      <c r="G1" s="9"/>
      <c r="H1" s="9"/>
      <c r="I1" s="9"/>
      <c r="J1" s="9"/>
      <c r="K1" s="9"/>
      <c r="L1" s="9"/>
    </row>
    <row r="2" spans="1:12" ht="15" x14ac:dyDescent="0.2">
      <c r="A2" s="10" t="s">
        <v>7</v>
      </c>
      <c r="B2" s="9"/>
      <c r="C2" s="9"/>
      <c r="D2" s="9"/>
      <c r="E2" s="9"/>
      <c r="F2" s="9"/>
      <c r="G2" s="10" t="s">
        <v>13</v>
      </c>
      <c r="H2" s="9"/>
      <c r="I2" s="9"/>
      <c r="J2" s="9"/>
      <c r="K2" s="9"/>
      <c r="L2" s="9"/>
    </row>
    <row r="3" spans="1:12" ht="15" x14ac:dyDescent="0.2">
      <c r="A3" s="11" t="s">
        <v>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" x14ac:dyDescent="0.2">
      <c r="A4" s="11" t="s">
        <v>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3" customHeight="1" thickBot="1" x14ac:dyDescent="0.3">
      <c r="A6" s="12" t="s">
        <v>10</v>
      </c>
      <c r="B6" s="37">
        <v>80</v>
      </c>
      <c r="C6" s="13" t="s">
        <v>9</v>
      </c>
      <c r="D6" s="9"/>
      <c r="E6" s="9"/>
      <c r="F6" s="9"/>
      <c r="G6" s="39"/>
      <c r="H6" s="39"/>
      <c r="I6" s="39"/>
      <c r="J6" s="39"/>
      <c r="K6" s="39"/>
      <c r="L6" s="39"/>
    </row>
    <row r="7" spans="1:12" ht="33.950000000000003" customHeight="1" thickBot="1" x14ac:dyDescent="0.3">
      <c r="A7" s="14" t="s">
        <v>29</v>
      </c>
      <c r="B7" s="37">
        <v>80</v>
      </c>
      <c r="C7" s="13" t="s">
        <v>9</v>
      </c>
      <c r="D7" s="9"/>
      <c r="E7" s="9"/>
      <c r="F7" s="9"/>
      <c r="G7" s="40"/>
      <c r="H7" s="41" t="s">
        <v>6</v>
      </c>
      <c r="I7" s="42" t="s">
        <v>19</v>
      </c>
      <c r="J7" s="43" t="s">
        <v>5</v>
      </c>
      <c r="K7" s="104" t="s">
        <v>26</v>
      </c>
      <c r="L7" s="44" t="s">
        <v>27</v>
      </c>
    </row>
    <row r="8" spans="1:12" ht="18.75" thickBot="1" x14ac:dyDescent="0.3">
      <c r="A8" s="14"/>
      <c r="B8" s="99">
        <v>0</v>
      </c>
      <c r="C8" s="13" t="s">
        <v>9</v>
      </c>
      <c r="D8" s="9"/>
      <c r="E8" s="9"/>
      <c r="F8" s="9"/>
      <c r="G8" s="45"/>
      <c r="H8" s="46"/>
      <c r="I8" s="47"/>
      <c r="J8" s="46"/>
      <c r="K8" s="48"/>
      <c r="L8" s="49"/>
    </row>
    <row r="9" spans="1:12" ht="18" x14ac:dyDescent="0.25">
      <c r="A9" s="14"/>
      <c r="B9" s="99">
        <v>0</v>
      </c>
      <c r="C9" s="105" t="s">
        <v>9</v>
      </c>
      <c r="D9" s="111" t="s">
        <v>28</v>
      </c>
      <c r="E9" s="9"/>
      <c r="F9" s="9"/>
      <c r="G9" s="50" t="s">
        <v>0</v>
      </c>
      <c r="H9" s="51">
        <v>397.3</v>
      </c>
      <c r="I9" s="5"/>
      <c r="J9" s="52">
        <f>PRODUCT(H9*2.2046)</f>
        <v>875.88758000000007</v>
      </c>
      <c r="K9" s="53">
        <v>1.9077999999999999</v>
      </c>
      <c r="L9" s="54">
        <f>PRODUCT(H9*K9)</f>
        <v>757.96893999999998</v>
      </c>
    </row>
    <row r="10" spans="1:12" ht="18.75" thickBot="1" x14ac:dyDescent="0.3">
      <c r="A10" s="12" t="s">
        <v>24</v>
      </c>
      <c r="B10" s="7">
        <v>3</v>
      </c>
      <c r="C10" s="101" t="s">
        <v>9</v>
      </c>
      <c r="D10" s="112"/>
      <c r="E10" s="9"/>
      <c r="F10" s="9"/>
      <c r="G10" s="100" t="s">
        <v>23</v>
      </c>
      <c r="H10" s="2">
        <f>(B6+B7)</f>
        <v>160</v>
      </c>
      <c r="I10" s="56"/>
      <c r="J10" s="57">
        <f>PRODUCT(H10*2.2046)</f>
        <v>352.73599999999999</v>
      </c>
      <c r="K10" s="58">
        <v>1.8</v>
      </c>
      <c r="L10" s="59">
        <f>PRODUCT(H10*K10)</f>
        <v>288</v>
      </c>
    </row>
    <row r="11" spans="1:12" ht="18" x14ac:dyDescent="0.25">
      <c r="A11" s="16" t="s">
        <v>20</v>
      </c>
      <c r="B11" s="7">
        <v>80</v>
      </c>
      <c r="C11" s="101" t="s">
        <v>18</v>
      </c>
      <c r="D11" s="107" t="s">
        <v>25</v>
      </c>
      <c r="E11" s="108"/>
      <c r="F11" s="9"/>
      <c r="G11" s="55"/>
      <c r="H11" s="2">
        <f>(B8+B9)</f>
        <v>0</v>
      </c>
      <c r="I11" s="56"/>
      <c r="J11" s="57">
        <f>PRODUCT(H11*2.20462)</f>
        <v>0</v>
      </c>
      <c r="K11" s="58"/>
      <c r="L11" s="59">
        <f>PRODUCT(J11:K11)</f>
        <v>0</v>
      </c>
    </row>
    <row r="12" spans="1:12" ht="18.75" thickBot="1" x14ac:dyDescent="0.3">
      <c r="A12" s="17" t="s">
        <v>21</v>
      </c>
      <c r="B12" s="38">
        <v>40</v>
      </c>
      <c r="C12" s="102" t="s">
        <v>18</v>
      </c>
      <c r="D12" s="109"/>
      <c r="E12" s="110"/>
      <c r="F12" s="9"/>
      <c r="G12" s="55" t="s">
        <v>1</v>
      </c>
      <c r="H12" s="57">
        <f>PRODUCT(I12*0.72)</f>
        <v>57.599999999999994</v>
      </c>
      <c r="I12" s="3">
        <f>(B11)</f>
        <v>80</v>
      </c>
      <c r="J12" s="57">
        <f>PRODUCT(H12*2.2046)</f>
        <v>126.98496</v>
      </c>
      <c r="K12" s="58">
        <v>2.2090000000000001</v>
      </c>
      <c r="L12" s="59">
        <f>PRODUCT(H12*K12)</f>
        <v>127.2384</v>
      </c>
    </row>
    <row r="13" spans="1:12" ht="20.25" thickBot="1" x14ac:dyDescent="0.3">
      <c r="A13" s="18" t="s">
        <v>15</v>
      </c>
      <c r="B13" s="98">
        <f>H15</f>
        <v>617.9</v>
      </c>
      <c r="C13" s="19" t="s">
        <v>14</v>
      </c>
      <c r="D13" s="20">
        <f>J15</f>
        <v>1362.2223999999999</v>
      </c>
      <c r="E13" s="21" t="s">
        <v>11</v>
      </c>
      <c r="F13" s="60"/>
      <c r="G13" s="103" t="s">
        <v>24</v>
      </c>
      <c r="H13" s="4">
        <f>(B10)</f>
        <v>3</v>
      </c>
      <c r="I13" s="61"/>
      <c r="J13" s="62">
        <f>PRODUCT(H13*2.20462)</f>
        <v>6.613859999999999</v>
      </c>
      <c r="K13" s="63">
        <v>2.4169999999999998</v>
      </c>
      <c r="L13" s="64">
        <f>PRODUCT(H13*K13)</f>
        <v>7.2509999999999994</v>
      </c>
    </row>
    <row r="14" spans="1:12" s="6" customFormat="1" ht="20.25" thickBot="1" x14ac:dyDescent="0.3">
      <c r="A14" s="22" t="str">
        <f>IF(J15&gt;1388.9,"! Überladen, Max:","")</f>
        <v/>
      </c>
      <c r="B14" s="23" t="str">
        <f>IF(J15&gt;1388.9,"    630.0  Kg     /","")</f>
        <v/>
      </c>
      <c r="C14" s="24"/>
      <c r="D14" s="25" t="str">
        <f>IF(J15&gt;1388.9,"1388   lbs","")</f>
        <v/>
      </c>
      <c r="E14" s="26"/>
      <c r="F14" s="65"/>
      <c r="G14" s="66"/>
      <c r="H14" s="67"/>
      <c r="I14" s="68"/>
      <c r="J14" s="69" t="str">
        <f>IF(J15&gt;2325,"überladen!","")</f>
        <v/>
      </c>
      <c r="K14" s="70"/>
      <c r="L14" s="68"/>
    </row>
    <row r="15" spans="1:12" ht="20.25" thickBot="1" x14ac:dyDescent="0.3">
      <c r="A15" s="27" t="s">
        <v>16</v>
      </c>
      <c r="B15" s="28">
        <f>H20</f>
        <v>589.09955400319996</v>
      </c>
      <c r="C15" s="29" t="s">
        <v>14</v>
      </c>
      <c r="D15" s="30">
        <f>J20</f>
        <v>1298.7299199999998</v>
      </c>
      <c r="E15" s="31" t="s">
        <v>11</v>
      </c>
      <c r="F15" s="71"/>
      <c r="G15" s="72" t="s">
        <v>12</v>
      </c>
      <c r="H15" s="73">
        <f>SUM(H9:H13)</f>
        <v>617.9</v>
      </c>
      <c r="I15" s="74"/>
      <c r="J15" s="75">
        <f>SUM(J9:J13)</f>
        <v>1362.2223999999999</v>
      </c>
      <c r="K15" s="76">
        <f>(L15/H15)</f>
        <v>1.9104358957760155</v>
      </c>
      <c r="L15" s="77">
        <f>SUM(L9:L13)</f>
        <v>1180.4583399999999</v>
      </c>
    </row>
    <row r="16" spans="1:12" ht="20.25" thickBot="1" x14ac:dyDescent="0.3">
      <c r="A16" s="32" t="str">
        <f>IF(J20&gt;1388.9,"Max. Landegew:","")</f>
        <v/>
      </c>
      <c r="B16" s="33" t="str">
        <f>IF(J20&gt;1388.9,"    630.0  Kg     /","")</f>
        <v/>
      </c>
      <c r="C16" s="34"/>
      <c r="D16" s="35" t="str">
        <f>IF(J20&gt;1388.9," 1388    lbs","")</f>
        <v/>
      </c>
      <c r="E16" s="36"/>
      <c r="F16" s="78"/>
      <c r="G16" s="79"/>
      <c r="H16" s="80"/>
      <c r="I16" s="81"/>
      <c r="J16" s="106" t="str">
        <f>IF(J15&gt;1388,"überladen!","")</f>
        <v/>
      </c>
      <c r="K16" s="48"/>
      <c r="L16" s="81"/>
    </row>
    <row r="17" spans="1:12" x14ac:dyDescent="0.2">
      <c r="A17" s="9"/>
      <c r="B17" s="9"/>
      <c r="C17" s="9"/>
      <c r="D17" s="9"/>
      <c r="E17" s="9"/>
      <c r="F17" s="9"/>
      <c r="G17" s="50" t="s">
        <v>2</v>
      </c>
      <c r="H17" s="51">
        <f>PRODUCT(I17*0.72)</f>
        <v>28.799999999999997</v>
      </c>
      <c r="I17" s="5">
        <f>B12</f>
        <v>40</v>
      </c>
      <c r="J17" s="82">
        <f>PRODUCT(H17*2.2046)</f>
        <v>63.49248</v>
      </c>
      <c r="K17" s="83">
        <v>2.2090000000000001</v>
      </c>
      <c r="L17" s="84"/>
    </row>
    <row r="18" spans="1:12" ht="20.25" thickBot="1" x14ac:dyDescent="0.3">
      <c r="A18" s="13" t="s">
        <v>17</v>
      </c>
      <c r="B18" s="15">
        <f>(B11-B12)</f>
        <v>40</v>
      </c>
      <c r="C18" s="13" t="s">
        <v>18</v>
      </c>
      <c r="D18" s="23" t="str">
        <f>IF(B18&lt;15,"= wenig !","")</f>
        <v/>
      </c>
      <c r="E18" s="9"/>
      <c r="F18" s="9"/>
      <c r="G18" s="85" t="s">
        <v>3</v>
      </c>
      <c r="H18" s="86">
        <f>PRODUCT(J18,0.45359)</f>
        <v>28.799554003200001</v>
      </c>
      <c r="I18" s="61">
        <f>SUM(I12,-I17)</f>
        <v>40</v>
      </c>
      <c r="J18" s="4">
        <f>SUM(J12,-J17)</f>
        <v>63.49248</v>
      </c>
      <c r="K18" s="87">
        <v>2.2000000000000002</v>
      </c>
      <c r="L18" s="88">
        <f>PRODUCT(H18,K18)</f>
        <v>63.359018807040009</v>
      </c>
    </row>
    <row r="19" spans="1:12" ht="13.5" thickBot="1" x14ac:dyDescent="0.25">
      <c r="F19" s="9"/>
      <c r="G19" s="45"/>
      <c r="H19" s="89"/>
      <c r="I19" s="90"/>
      <c r="J19" s="91"/>
      <c r="K19" s="92"/>
      <c r="L19" s="90"/>
    </row>
    <row r="20" spans="1:12" ht="13.5" thickBot="1" x14ac:dyDescent="0.25">
      <c r="F20" s="9"/>
      <c r="G20" s="93" t="s">
        <v>4</v>
      </c>
      <c r="H20" s="94">
        <f>SUM(H9,H10,H11,H13,H18)</f>
        <v>589.09955400319996</v>
      </c>
      <c r="I20" s="95"/>
      <c r="J20" s="96">
        <f>SUM(J9,J10,J11,J13,J18)</f>
        <v>1298.7299199999998</v>
      </c>
      <c r="K20" s="97">
        <f>(L20/H20)</f>
        <v>1.8953994298915642</v>
      </c>
      <c r="L20" s="95">
        <f>SUM(L9,L10,L11,L13,L18)</f>
        <v>1116.57895880704</v>
      </c>
    </row>
    <row r="21" spans="1:12" x14ac:dyDescent="0.2">
      <c r="G21" s="1"/>
    </row>
    <row r="22" spans="1:12" x14ac:dyDescent="0.2">
      <c r="B22" s="1">
        <f>(K15)</f>
        <v>1.9104358957760155</v>
      </c>
      <c r="C22" s="1">
        <f>(H15)</f>
        <v>617.9</v>
      </c>
      <c r="G22" s="1"/>
    </row>
    <row r="23" spans="1:12" x14ac:dyDescent="0.2">
      <c r="B23" s="1">
        <f>(K20)</f>
        <v>1.8953994298915642</v>
      </c>
      <c r="C23" s="1">
        <f>(H20)</f>
        <v>589.09955400319996</v>
      </c>
    </row>
  </sheetData>
  <sheetProtection password="CC06" sheet="1" objects="1" scenarios="1"/>
  <mergeCells count="2">
    <mergeCell ref="D11:E12"/>
    <mergeCell ref="D9:D10"/>
  </mergeCells>
  <phoneticPr fontId="15"/>
  <conditionalFormatting sqref="H13 B10">
    <cfRule type="cellIs" dxfId="5" priority="2" stopIfTrue="1" operator="greaterThan">
      <formula>22.7</formula>
    </cfRule>
  </conditionalFormatting>
  <conditionalFormatting sqref="J15">
    <cfRule type="cellIs" dxfId="4" priority="3" stopIfTrue="1" operator="greaterThan">
      <formula>2325</formula>
    </cfRule>
  </conditionalFormatting>
  <conditionalFormatting sqref="H15">
    <cfRule type="cellIs" dxfId="3" priority="4" stopIfTrue="1" operator="greaterThan">
      <formula>1055</formula>
    </cfRule>
  </conditionalFormatting>
  <conditionalFormatting sqref="I18">
    <cfRule type="cellIs" dxfId="2" priority="5" stopIfTrue="1" operator="lessThan">
      <formula>7</formula>
    </cfRule>
  </conditionalFormatting>
  <conditionalFormatting sqref="B18">
    <cfRule type="cellIs" dxfId="1" priority="6" stopIfTrue="1" operator="lessThan">
      <formula>15</formula>
    </cfRule>
  </conditionalFormatting>
  <conditionalFormatting sqref="C18">
    <cfRule type="cellIs" dxfId="0" priority="1" operator="lessThan">
      <formula>15</formula>
    </cfRule>
  </conditionalFormatting>
  <dataValidations xWindow="462" yWindow="367" count="4">
    <dataValidation type="decimal" allowBlank="1" showInputMessage="1" showErrorMessage="1" errorTitle="Fuel-Quantity" error="zuviel oder zuwenig Fuel !!!" promptTitle="     FUEL   QUANTITY" prompt="MAX: 124 Lt_x000a__x000a_MIN:  20 Lt" sqref="B11">
      <formula1>20</formula1>
      <formula2>124</formula2>
    </dataValidation>
    <dataValidation type="decimal" operator="lessThanOrEqual" allowBlank="1" showInputMessage="1" showErrorMessage="1" sqref="D13">
      <formula1>1388</formula1>
    </dataValidation>
    <dataValidation type="whole" operator="lessThanOrEqual" allowBlank="1" showInputMessage="1" showErrorMessage="1" errorTitle="WENIG!!!" error="zu wenig fuel bei der Landung" sqref="B18">
      <formula1>15</formula1>
    </dataValidation>
    <dataValidation type="decimal" allowBlank="1" showInputMessage="1" showErrorMessage="1" errorTitle="zu schwer!" error="Zuviel Gewicht im Baggagecompartement!" promptTitle="BAGGAGE" prompt="Maximal 20 kg" sqref="B10">
      <formula1>0</formula1>
      <formula2>20</formula2>
    </dataValidation>
  </dataValidations>
  <pageMargins left="0.74803149606299213" right="0.74803149606299213" top="0.98425196850393704" bottom="0.98425196850393704" header="0.51181102362204722" footer="0.51181102362204722"/>
  <pageSetup paperSize="10" orientation="portrait" horizontalDpi="4294967292" verticalDpi="4294967292" r:id="rId1"/>
  <headerFooter alignWithMargins="0">
    <oddHeader>&amp;C&amp;"Verdana,Fett"&amp;12Weight &amp; Balance Tecnam P2008 JC (HB-KMF)
 &amp;"Verdana,Standard"&amp;10(Basic emptyweight: Stand 28.04.2019)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E14"/>
    </sheetView>
  </sheetViews>
  <sheetFormatPr baseColWidth="10" defaultRowHeight="12.75" x14ac:dyDescent="0.2"/>
  <cols>
    <col min="1" max="256" width="9" customWidth="1"/>
  </cols>
  <sheetData/>
  <phoneticPr fontId="15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cols>
    <col min="1" max="256" width="9" customWidth="1"/>
  </cols>
  <sheetData/>
  <phoneticPr fontId="15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Drive-Benutzer</dc:creator>
  <cp:lastModifiedBy>Marcel Lütold</cp:lastModifiedBy>
  <cp:lastPrinted>2019-04-23T20:30:06Z</cp:lastPrinted>
  <dcterms:created xsi:type="dcterms:W3CDTF">2010-03-04T18:03:19Z</dcterms:created>
  <dcterms:modified xsi:type="dcterms:W3CDTF">2019-04-23T20:42:32Z</dcterms:modified>
</cp:coreProperties>
</file>